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Users\Tom-Pouce\Desktop\"/>
    </mc:Choice>
  </mc:AlternateContent>
  <bookViews>
    <workbookView xWindow="0" yWindow="0" windowWidth="22020" windowHeight="11265"/>
  </bookViews>
  <sheets>
    <sheet name="de Maatschappij - 2017" sheetId="3" r:id="rId1"/>
    <sheet name="de Maatschappij - 2016" sheetId="2" r:id="rId2"/>
    <sheet name="de Maatschappij - 2015" sheetId="1" r:id="rId3"/>
  </sheets>
  <calcPr calcId="152511"/>
</workbook>
</file>

<file path=xl/calcChain.xml><?xml version="1.0" encoding="utf-8"?>
<calcChain xmlns="http://schemas.openxmlformats.org/spreadsheetml/2006/main">
  <c r="I15" i="3" l="1"/>
  <c r="H8" i="3"/>
  <c r="I30" i="3"/>
  <c r="I12" i="3"/>
  <c r="I23" i="3"/>
  <c r="I20" i="3"/>
  <c r="H22" i="3"/>
  <c r="H23" i="3"/>
  <c r="H24" i="3"/>
  <c r="H25" i="3"/>
  <c r="H26" i="3"/>
  <c r="H27" i="3"/>
  <c r="H28" i="3"/>
  <c r="H21" i="3"/>
  <c r="I19" i="3"/>
  <c r="E23" i="3"/>
  <c r="E7" i="3"/>
  <c r="D7" i="3"/>
  <c r="D21" i="3"/>
  <c r="E32" i="3"/>
  <c r="D32" i="3"/>
  <c r="D27" i="3"/>
  <c r="D25" i="3"/>
  <c r="D24" i="3"/>
  <c r="E6" i="3"/>
  <c r="D5" i="3"/>
  <c r="J5" i="2"/>
  <c r="D21" i="2" l="1"/>
  <c r="D24" i="2" l="1"/>
  <c r="G32" i="3"/>
  <c r="F33" i="3" s="1"/>
  <c r="F32" i="3"/>
  <c r="C32" i="3"/>
  <c r="B32" i="3"/>
  <c r="B33" i="3" l="1"/>
  <c r="D33" i="3"/>
  <c r="E8" i="2"/>
  <c r="D10" i="2"/>
  <c r="E28" i="2"/>
  <c r="D6" i="2"/>
  <c r="G32" i="2"/>
  <c r="C32" i="2"/>
  <c r="B32" i="2"/>
  <c r="B33" i="2" s="1"/>
  <c r="E32" i="2"/>
  <c r="H26" i="2"/>
  <c r="H24" i="2"/>
  <c r="H23" i="2"/>
  <c r="H21" i="2"/>
  <c r="I19" i="2"/>
  <c r="N4" i="2"/>
  <c r="F21" i="1"/>
  <c r="D21" i="1"/>
  <c r="H21" i="1" s="1"/>
  <c r="G10" i="1"/>
  <c r="H26" i="1"/>
  <c r="N4" i="1"/>
  <c r="H23" i="1"/>
  <c r="D6" i="1"/>
  <c r="E28" i="1"/>
  <c r="E32" i="1" s="1"/>
  <c r="D24" i="1"/>
  <c r="H24" i="1" s="1"/>
  <c r="C32" i="1"/>
  <c r="B32" i="1"/>
  <c r="I19" i="1"/>
  <c r="B16" i="1"/>
  <c r="I12" i="1"/>
  <c r="I10" i="1"/>
  <c r="C10" i="2" s="1"/>
  <c r="H5" i="1"/>
  <c r="B5" i="2" s="1"/>
  <c r="H32" i="3" l="1"/>
  <c r="I10" i="2"/>
  <c r="C10" i="3" s="1"/>
  <c r="I10" i="3" s="1"/>
  <c r="C12" i="2"/>
  <c r="I12" i="2" s="1"/>
  <c r="H30" i="2"/>
  <c r="I28" i="2"/>
  <c r="I30" i="2" s="1"/>
  <c r="D32" i="2"/>
  <c r="D33" i="2" s="1"/>
  <c r="B33" i="1"/>
  <c r="D32" i="1"/>
  <c r="D33" i="1" s="1"/>
  <c r="H6" i="1"/>
  <c r="B6" i="2" s="1"/>
  <c r="H6" i="2" s="1"/>
  <c r="B6" i="3" s="1"/>
  <c r="I28" i="1"/>
  <c r="I32" i="1" s="1"/>
  <c r="F32" i="1"/>
  <c r="H8" i="1"/>
  <c r="B8" i="2" s="1"/>
  <c r="H8" i="2" s="1"/>
  <c r="B8" i="3" s="1"/>
  <c r="C16" i="1"/>
  <c r="B17" i="1" s="1"/>
  <c r="H30" i="1"/>
  <c r="I14" i="1" s="1"/>
  <c r="H16" i="3" l="1"/>
  <c r="B16" i="2"/>
  <c r="C16" i="2"/>
  <c r="B17" i="2" s="1"/>
  <c r="I14" i="2"/>
  <c r="C12" i="3" s="1"/>
  <c r="I32" i="2"/>
  <c r="H32" i="2"/>
  <c r="H16" i="1"/>
  <c r="I16" i="1"/>
  <c r="H17" i="1" s="1"/>
  <c r="H32" i="1"/>
  <c r="H33" i="1" s="1"/>
  <c r="G32" i="1"/>
  <c r="F33" i="1" s="1"/>
  <c r="I16" i="2" l="1"/>
  <c r="C16" i="3"/>
  <c r="H33" i="2"/>
  <c r="H16" i="2" l="1"/>
  <c r="H17" i="2" s="1"/>
  <c r="H5" i="2"/>
  <c r="B5" i="3" s="1"/>
  <c r="B16" i="3" s="1"/>
  <c r="B17" i="3" s="1"/>
  <c r="F32" i="2"/>
  <c r="F33" i="2" s="1"/>
  <c r="I32" i="3"/>
  <c r="H33" i="3" s="1"/>
  <c r="I16" i="3" l="1"/>
  <c r="H17" i="3" s="1"/>
</calcChain>
</file>

<file path=xl/sharedStrings.xml><?xml version="1.0" encoding="utf-8"?>
<sst xmlns="http://schemas.openxmlformats.org/spreadsheetml/2006/main" count="90" uniqueCount="33">
  <si>
    <t>Omschrijving</t>
  </si>
  <si>
    <t>Beginbalans</t>
  </si>
  <si>
    <t>Mutaties</t>
  </si>
  <si>
    <t>Journaalposten</t>
  </si>
  <si>
    <t>Eindbalans</t>
  </si>
  <si>
    <t>Debet</t>
  </si>
  <si>
    <t>Credit</t>
  </si>
  <si>
    <t>Winst saldo</t>
  </si>
  <si>
    <t>van Lanschot</t>
  </si>
  <si>
    <t>Vermogen</t>
  </si>
  <si>
    <t>Bijdragen (landelijk)</t>
  </si>
  <si>
    <t>van Lanschot spaar</t>
  </si>
  <si>
    <t>Bankkosten</t>
  </si>
  <si>
    <t>Verenigingsactiviteiten</t>
  </si>
  <si>
    <t>Crediteuren</t>
  </si>
  <si>
    <t>Verteer</t>
  </si>
  <si>
    <t>Debiteuren</t>
  </si>
  <si>
    <t>Bankrente</t>
  </si>
  <si>
    <t>1. Landelijke afrekening bijdrage 2015</t>
  </si>
  <si>
    <t>debiteuren</t>
  </si>
  <si>
    <t>aan) Bijdrage</t>
  </si>
  <si>
    <t>afrekening 2015</t>
  </si>
  <si>
    <t>Subsidies</t>
  </si>
  <si>
    <t>1. Landelijke afrekening bijdrage 2016</t>
  </si>
  <si>
    <t>afrekening 2016</t>
  </si>
  <si>
    <t>Secretariaatskosten 2014</t>
  </si>
  <si>
    <t>Sponsoring</t>
  </si>
  <si>
    <t>Reclame</t>
  </si>
  <si>
    <t>Bijdragen (landelijk eenmalig)</t>
  </si>
  <si>
    <t>Bijdrage leden activiteit</t>
  </si>
  <si>
    <t>Rabobank</t>
  </si>
  <si>
    <t>Bedrag te veel betaald</t>
  </si>
  <si>
    <t>Verlies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</si>
</sst>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_-&quot;€&quot;\ * #,##0.00\-;_-&quot;€&quot;\ * &quot;-&quot;??_-;_-@_-"/>
    <numFmt numFmtId="165" formatCode="#,##0.00_ ;[Red]\-#,##0.00\ "/>
    <numFmt numFmtId="166" formatCode="_ [$€-413]\ * #,##0.00_ ;_ [$€-413]\ * \-#,##0.00_ ;_ [$€-413]\ * &quot;-&quot;??_ ;_ @_ "/>
    <numFmt numFmtId="167" formatCode="#,##0.000_ ;[Red]\-#,##0.000\ "/>
  </numFmts>
  <fonts count="7" x14ac:knownFonts="1">
    <font>
      <sz val="10"/>
      <name val="Arial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164" fontId="2" fillId="0" borderId="1" xfId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4" fontId="2" fillId="0" borderId="3" xfId="1" applyFont="1" applyFill="1" applyBorder="1" applyAlignment="1">
      <alignment horizontal="center"/>
    </xf>
    <xf numFmtId="164" fontId="3" fillId="0" borderId="1" xfId="1" applyFont="1" applyBorder="1"/>
    <xf numFmtId="164" fontId="3" fillId="0" borderId="3" xfId="1" applyFont="1" applyBorder="1"/>
    <xf numFmtId="0" fontId="3" fillId="0" borderId="1" xfId="0" applyFont="1" applyBorder="1"/>
    <xf numFmtId="165" fontId="3" fillId="0" borderId="1" xfId="1" applyNumberFormat="1" applyFont="1" applyBorder="1"/>
    <xf numFmtId="165" fontId="3" fillId="0" borderId="3" xfId="1" applyNumberFormat="1" applyFont="1" applyBorder="1"/>
    <xf numFmtId="165" fontId="3" fillId="0" borderId="1" xfId="1" applyNumberFormat="1" applyFont="1" applyFill="1" applyBorder="1"/>
    <xf numFmtId="165" fontId="3" fillId="0" borderId="4" xfId="1" applyNumberFormat="1" applyFont="1" applyBorder="1"/>
    <xf numFmtId="165" fontId="3" fillId="0" borderId="5" xfId="1" applyNumberFormat="1" applyFont="1" applyBorder="1"/>
    <xf numFmtId="165" fontId="3" fillId="0" borderId="6" xfId="1" applyNumberFormat="1" applyFont="1" applyBorder="1"/>
    <xf numFmtId="165" fontId="3" fillId="0" borderId="7" xfId="1" applyNumberFormat="1" applyFont="1" applyBorder="1"/>
    <xf numFmtId="165" fontId="3" fillId="2" borderId="8" xfId="1" applyNumberFormat="1" applyFont="1" applyFill="1" applyBorder="1"/>
    <xf numFmtId="165" fontId="3" fillId="2" borderId="9" xfId="1" applyNumberFormat="1" applyFont="1" applyFill="1" applyBorder="1"/>
    <xf numFmtId="165" fontId="3" fillId="2" borderId="10" xfId="1" applyNumberFormat="1" applyFont="1" applyFill="1" applyBorder="1"/>
    <xf numFmtId="0" fontId="3" fillId="0" borderId="0" xfId="0" applyFont="1" applyBorder="1"/>
    <xf numFmtId="164" fontId="3" fillId="0" borderId="0" xfId="1" applyFont="1" applyBorder="1"/>
    <xf numFmtId="165" fontId="3" fillId="0" borderId="0" xfId="0" applyNumberFormat="1" applyFont="1"/>
    <xf numFmtId="166" fontId="3" fillId="0" borderId="0" xfId="0" applyNumberFormat="1" applyFont="1"/>
    <xf numFmtId="0" fontId="5" fillId="0" borderId="0" xfId="0" applyFont="1"/>
    <xf numFmtId="165" fontId="3" fillId="0" borderId="11" xfId="1" applyNumberFormat="1" applyFont="1" applyBorder="1"/>
    <xf numFmtId="165" fontId="3" fillId="0" borderId="12" xfId="1" applyNumberFormat="1" applyFont="1" applyBorder="1"/>
    <xf numFmtId="164" fontId="2" fillId="0" borderId="7" xfId="1" applyFont="1" applyFill="1" applyBorder="1" applyAlignment="1">
      <alignment horizontal="center"/>
    </xf>
    <xf numFmtId="165" fontId="3" fillId="0" borderId="13" xfId="1" applyNumberFormat="1" applyFont="1" applyBorder="1"/>
    <xf numFmtId="0" fontId="2" fillId="0" borderId="0" xfId="0" applyFont="1" applyBorder="1" applyAlignment="1">
      <alignment horizontal="center"/>
    </xf>
    <xf numFmtId="166" fontId="3" fillId="0" borderId="0" xfId="0" applyNumberFormat="1" applyFont="1" applyBorder="1"/>
    <xf numFmtId="165" fontId="3" fillId="0" borderId="0" xfId="0" applyNumberFormat="1" applyFont="1" applyBorder="1"/>
    <xf numFmtId="167" fontId="3" fillId="0" borderId="0" xfId="1" applyNumberFormat="1" applyFont="1" applyBorder="1"/>
    <xf numFmtId="0" fontId="6" fillId="0" borderId="0" xfId="0" applyFont="1" applyBorder="1"/>
    <xf numFmtId="167" fontId="3" fillId="0" borderId="0" xfId="0" applyNumberFormat="1" applyFont="1" applyBorder="1"/>
    <xf numFmtId="167" fontId="6" fillId="0" borderId="0" xfId="1" applyNumberFormat="1" applyFont="1" applyBorder="1"/>
    <xf numFmtId="165" fontId="3" fillId="0" borderId="0" xfId="1" applyNumberFormat="1" applyFont="1" applyBorder="1"/>
    <xf numFmtId="165" fontId="6" fillId="0" borderId="1" xfId="1" applyNumberFormat="1" applyFont="1" applyBorder="1"/>
    <xf numFmtId="164" fontId="2" fillId="0" borderId="1" xfId="1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0" borderId="2" xfId="1" applyFont="1" applyBorder="1" applyAlignment="1">
      <alignment horizontal="center"/>
    </xf>
  </cellXfs>
  <cellStyles count="4">
    <cellStyle name="Euro" xfId="1"/>
    <cellStyle name="Standaard" xfId="0" builtinId="0"/>
    <cellStyle name="Standaard 2" xfId="2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2" zoomScaleNormal="100" workbookViewId="0">
      <selection activeCell="A30" sqref="A30"/>
    </sheetView>
  </sheetViews>
  <sheetFormatPr defaultColWidth="9.140625" defaultRowHeight="11.25" x14ac:dyDescent="0.2"/>
  <cols>
    <col min="1" max="1" width="35.42578125" style="3" bestFit="1" customWidth="1"/>
    <col min="2" max="3" width="10.7109375" style="3" bestFit="1" customWidth="1"/>
    <col min="4" max="5" width="10.28515625" style="3" bestFit="1" customWidth="1"/>
    <col min="6" max="7" width="8.85546875" style="3" bestFit="1" customWidth="1"/>
    <col min="8" max="9" width="10.7109375" style="3" bestFit="1" customWidth="1"/>
    <col min="10" max="10" width="9.140625" style="3"/>
    <col min="11" max="11" width="12.7109375" style="3" customWidth="1"/>
    <col min="12" max="12" width="14.85546875" style="3" customWidth="1"/>
    <col min="13" max="14" width="9.140625" style="23"/>
    <col min="15" max="16384" width="9.140625" style="3"/>
  </cols>
  <sheetData>
    <row r="1" spans="1:16" x14ac:dyDescent="0.2">
      <c r="A1" s="1" t="s">
        <v>0</v>
      </c>
      <c r="B1" s="38" t="s">
        <v>1</v>
      </c>
      <c r="C1" s="39"/>
      <c r="D1" s="38" t="s">
        <v>2</v>
      </c>
      <c r="E1" s="39"/>
      <c r="F1" s="38" t="s">
        <v>3</v>
      </c>
      <c r="G1" s="39"/>
      <c r="H1" s="38" t="s">
        <v>4</v>
      </c>
      <c r="I1" s="40"/>
      <c r="J1" s="2"/>
      <c r="K1" s="24" t="s">
        <v>23</v>
      </c>
    </row>
    <row r="2" spans="1:16" x14ac:dyDescent="0.2">
      <c r="A2" s="1"/>
      <c r="B2" s="4" t="s">
        <v>5</v>
      </c>
      <c r="C2" s="5" t="s">
        <v>6</v>
      </c>
      <c r="D2" s="4" t="s">
        <v>5</v>
      </c>
      <c r="E2" s="6" t="s">
        <v>6</v>
      </c>
      <c r="F2" s="4" t="s">
        <v>5</v>
      </c>
      <c r="G2" s="6" t="s">
        <v>6</v>
      </c>
      <c r="H2" s="4" t="s">
        <v>5</v>
      </c>
      <c r="I2" s="27" t="s">
        <v>6</v>
      </c>
      <c r="J2" s="29"/>
      <c r="K2" s="20"/>
      <c r="L2" s="20"/>
      <c r="M2" s="30"/>
      <c r="N2" s="30"/>
      <c r="O2" s="20"/>
      <c r="P2" s="20"/>
    </row>
    <row r="3" spans="1:16" x14ac:dyDescent="0.2">
      <c r="B3" s="10"/>
      <c r="C3" s="11"/>
      <c r="D3" s="10"/>
      <c r="E3" s="11"/>
      <c r="F3" s="10"/>
      <c r="G3" s="11"/>
      <c r="H3" s="10"/>
      <c r="I3" s="16"/>
      <c r="J3" s="20"/>
      <c r="K3" s="20"/>
      <c r="L3" s="20"/>
      <c r="M3" s="30"/>
      <c r="N3" s="30"/>
      <c r="O3" s="20"/>
      <c r="P3" s="20"/>
    </row>
    <row r="4" spans="1:16" x14ac:dyDescent="0.2">
      <c r="B4" s="10"/>
      <c r="C4" s="11"/>
      <c r="D4" s="22"/>
      <c r="E4" s="22"/>
      <c r="F4" s="10"/>
      <c r="G4" s="11"/>
      <c r="H4" s="10"/>
      <c r="I4" s="16"/>
      <c r="J4" s="20"/>
      <c r="K4" s="20"/>
      <c r="L4" s="20"/>
      <c r="M4" s="30"/>
      <c r="N4" s="30"/>
      <c r="O4" s="20"/>
      <c r="P4" s="20"/>
    </row>
    <row r="5" spans="1:16" x14ac:dyDescent="0.2">
      <c r="A5" s="3" t="s">
        <v>8</v>
      </c>
      <c r="B5" s="10">
        <f>'de Maatschappij - 2016'!H5</f>
        <v>1034</v>
      </c>
      <c r="C5" s="11"/>
      <c r="D5" s="22">
        <f>H5-B5</f>
        <v>44.460000000000036</v>
      </c>
      <c r="E5" s="22"/>
      <c r="F5" s="10"/>
      <c r="G5" s="11"/>
      <c r="H5" s="10">
        <v>1078.46</v>
      </c>
      <c r="I5" s="16"/>
      <c r="J5" s="20"/>
      <c r="K5" s="20"/>
      <c r="L5" s="20"/>
      <c r="M5" s="30"/>
      <c r="N5" s="30"/>
      <c r="O5" s="20"/>
      <c r="P5" s="20"/>
    </row>
    <row r="6" spans="1:16" x14ac:dyDescent="0.2">
      <c r="A6" s="3" t="s">
        <v>11</v>
      </c>
      <c r="B6" s="10">
        <f>'de Maatschappij - 2016'!H6</f>
        <v>23474.57</v>
      </c>
      <c r="C6" s="11"/>
      <c r="D6" s="22"/>
      <c r="E6" s="22">
        <f>B6</f>
        <v>23474.57</v>
      </c>
      <c r="F6" s="10"/>
      <c r="G6" s="11"/>
      <c r="H6" s="10"/>
      <c r="I6" s="16"/>
      <c r="J6" s="20"/>
      <c r="K6" s="31"/>
      <c r="L6" s="20"/>
      <c r="M6" s="30"/>
      <c r="N6" s="30"/>
      <c r="O6" s="20"/>
      <c r="P6" s="20"/>
    </row>
    <row r="7" spans="1:16" x14ac:dyDescent="0.2">
      <c r="A7" s="3" t="s">
        <v>30</v>
      </c>
      <c r="B7" s="10"/>
      <c r="C7" s="11"/>
      <c r="D7" s="22">
        <f>26750</f>
        <v>26750</v>
      </c>
      <c r="E7" s="22">
        <f>D7-H7</f>
        <v>1107.4199999999983</v>
      </c>
      <c r="F7" s="10"/>
      <c r="G7" s="11"/>
      <c r="H7" s="10">
        <v>25642.58</v>
      </c>
      <c r="I7" s="16"/>
      <c r="J7" s="31"/>
      <c r="K7" s="31"/>
      <c r="L7" s="20"/>
      <c r="M7" s="30"/>
      <c r="N7" s="30"/>
      <c r="O7" s="20"/>
      <c r="P7" s="20"/>
    </row>
    <row r="8" spans="1:16" x14ac:dyDescent="0.2">
      <c r="A8" s="3" t="s">
        <v>16</v>
      </c>
      <c r="B8" s="10">
        <f>'de Maatschappij - 2016'!H8</f>
        <v>0</v>
      </c>
      <c r="C8" s="11"/>
      <c r="D8" s="22">
        <v>730</v>
      </c>
      <c r="E8" s="22"/>
      <c r="F8" s="10"/>
      <c r="G8" s="11"/>
      <c r="H8" s="10">
        <f>IF((B8-C8+D8-E8+F8-G8)&gt;0,(B8-C8+D8-E8+F8-G8),)</f>
        <v>730</v>
      </c>
      <c r="I8" s="16"/>
      <c r="J8" s="20"/>
      <c r="K8" s="20"/>
      <c r="L8" s="20"/>
      <c r="M8" s="30"/>
      <c r="N8" s="30"/>
      <c r="O8" s="20"/>
      <c r="P8" s="20"/>
    </row>
    <row r="9" spans="1:16" x14ac:dyDescent="0.2">
      <c r="B9" s="10"/>
      <c r="C9" s="11"/>
      <c r="D9" s="22"/>
      <c r="E9" s="22"/>
      <c r="F9" s="10"/>
      <c r="G9" s="11"/>
      <c r="H9" s="10"/>
      <c r="I9" s="16"/>
      <c r="J9" s="20"/>
      <c r="K9" s="20"/>
      <c r="L9" s="20"/>
      <c r="M9" s="30"/>
      <c r="N9" s="30"/>
      <c r="O9" s="20"/>
      <c r="P9" s="20"/>
    </row>
    <row r="10" spans="1:16" x14ac:dyDescent="0.2">
      <c r="A10" s="3" t="s">
        <v>14</v>
      </c>
      <c r="B10" s="10"/>
      <c r="C10" s="11">
        <f>'de Maatschappij - 2016'!I10</f>
        <v>0</v>
      </c>
      <c r="D10" s="22"/>
      <c r="E10" s="22">
        <v>3291.9</v>
      </c>
      <c r="F10" s="10"/>
      <c r="G10" s="11"/>
      <c r="H10" s="12"/>
      <c r="I10" s="16">
        <f>IF((C10-B10+O22-N22+G10-F10)&gt;0,(C10-B10+O22-N22+G10-F10),)</f>
        <v>0</v>
      </c>
      <c r="J10" s="20"/>
      <c r="K10" s="20"/>
      <c r="L10" s="20"/>
      <c r="M10" s="30"/>
      <c r="N10" s="30"/>
      <c r="O10" s="20"/>
      <c r="P10" s="20"/>
    </row>
    <row r="11" spans="1:16" x14ac:dyDescent="0.2">
      <c r="B11" s="10"/>
      <c r="C11" s="11"/>
      <c r="D11" s="22"/>
      <c r="E11" s="22"/>
      <c r="F11" s="10"/>
      <c r="G11" s="11"/>
      <c r="H11" s="10"/>
      <c r="I11" s="16"/>
      <c r="J11" s="20"/>
      <c r="K11" s="20"/>
      <c r="L11" s="20"/>
      <c r="M11" s="30"/>
      <c r="N11" s="30"/>
      <c r="O11" s="20"/>
      <c r="P11" s="20"/>
    </row>
    <row r="12" spans="1:16" x14ac:dyDescent="0.2">
      <c r="A12" s="3" t="s">
        <v>9</v>
      </c>
      <c r="B12" s="10"/>
      <c r="C12" s="11">
        <f>'de Maatschappij - 2016'!I12+'de Maatschappij - 2016'!I14</f>
        <v>24508.57</v>
      </c>
      <c r="D12" s="22"/>
      <c r="E12" s="22"/>
      <c r="F12" s="10"/>
      <c r="G12" s="11"/>
      <c r="H12" s="10"/>
      <c r="I12" s="16">
        <f>IF((C12-B12+E12-D12+G12-F12)&gt;0,(C12-B12+E12-D12+G12-F12),)</f>
        <v>24508.57</v>
      </c>
      <c r="J12" s="20"/>
      <c r="K12" s="20"/>
      <c r="L12" s="20"/>
      <c r="M12" s="30"/>
      <c r="N12" s="30"/>
      <c r="O12" s="20"/>
      <c r="P12" s="20"/>
    </row>
    <row r="13" spans="1:16" x14ac:dyDescent="0.2">
      <c r="B13" s="10"/>
      <c r="C13" s="11"/>
      <c r="D13" s="22"/>
      <c r="E13" s="22"/>
      <c r="F13" s="10"/>
      <c r="G13" s="11"/>
      <c r="H13" s="10"/>
      <c r="I13" s="16"/>
      <c r="J13" s="20"/>
      <c r="K13" s="20"/>
      <c r="L13" s="20"/>
      <c r="M13" s="30"/>
      <c r="N13" s="30"/>
      <c r="O13" s="20"/>
      <c r="P13" s="20"/>
    </row>
    <row r="14" spans="1:16" x14ac:dyDescent="0.2">
      <c r="B14" s="10"/>
      <c r="C14" s="11"/>
      <c r="D14" s="22"/>
      <c r="E14" s="22"/>
      <c r="F14" s="10"/>
      <c r="G14" s="11"/>
      <c r="H14" s="22"/>
      <c r="I14" s="22"/>
      <c r="J14" s="20"/>
      <c r="K14" s="20"/>
      <c r="L14" s="20"/>
      <c r="M14" s="30"/>
      <c r="N14" s="30"/>
      <c r="O14" s="20"/>
      <c r="P14" s="20"/>
    </row>
    <row r="15" spans="1:16" x14ac:dyDescent="0.2">
      <c r="B15" s="13"/>
      <c r="C15" s="14"/>
      <c r="D15" s="22"/>
      <c r="E15" s="22"/>
      <c r="F15" s="10"/>
      <c r="G15" s="11"/>
      <c r="H15" s="22"/>
      <c r="I15" s="16">
        <f>-I30</f>
        <v>-349.4</v>
      </c>
      <c r="J15" s="20"/>
      <c r="K15" s="20"/>
      <c r="L15" s="20"/>
      <c r="M15" s="30"/>
      <c r="N15" s="30"/>
      <c r="O15" s="20"/>
      <c r="P15" s="20"/>
    </row>
    <row r="16" spans="1:16" ht="12" thickBot="1" x14ac:dyDescent="0.25">
      <c r="B16" s="25">
        <f>SUM(B4:B15)</f>
        <v>24508.57</v>
      </c>
      <c r="C16" s="26">
        <f>SUM(C4:C15)</f>
        <v>24508.57</v>
      </c>
      <c r="D16" s="22"/>
      <c r="E16" s="22"/>
      <c r="F16" s="10"/>
      <c r="G16" s="11"/>
      <c r="H16" s="25">
        <f>SUM(H4:H15)</f>
        <v>27451.040000000001</v>
      </c>
      <c r="I16" s="28">
        <f>SUM(I4:I15)</f>
        <v>24159.17</v>
      </c>
      <c r="J16" s="20"/>
      <c r="K16" s="20"/>
      <c r="L16" s="20"/>
      <c r="M16" s="30"/>
      <c r="N16" s="32"/>
      <c r="O16" s="32"/>
      <c r="P16" s="20"/>
    </row>
    <row r="17" spans="1:16" ht="12.75" hidden="1" thickTop="1" thickBot="1" x14ac:dyDescent="0.25">
      <c r="B17" s="17">
        <f>C16-B16</f>
        <v>0</v>
      </c>
      <c r="C17" s="18"/>
      <c r="D17" s="22"/>
      <c r="E17" s="22"/>
      <c r="F17" s="10"/>
      <c r="G17" s="11"/>
      <c r="H17" s="17">
        <f>I16-H16</f>
        <v>-3291.8700000000026</v>
      </c>
      <c r="I17" s="18"/>
      <c r="J17" s="20"/>
      <c r="K17" s="20"/>
      <c r="L17" s="20"/>
      <c r="M17" s="30"/>
      <c r="N17" s="32"/>
      <c r="O17" s="32"/>
      <c r="P17" s="20"/>
    </row>
    <row r="18" spans="1:16" ht="12" thickTop="1" x14ac:dyDescent="0.2">
      <c r="B18" s="10"/>
      <c r="C18" s="11"/>
      <c r="D18" s="22"/>
      <c r="E18" s="22"/>
      <c r="F18" s="10"/>
      <c r="G18" s="11"/>
      <c r="H18" s="10"/>
      <c r="I18" s="16"/>
      <c r="J18" s="20"/>
      <c r="K18" s="20"/>
      <c r="L18" s="20"/>
      <c r="M18" s="30"/>
      <c r="N18" s="32"/>
      <c r="O18" s="32"/>
      <c r="P18" s="20"/>
    </row>
    <row r="19" spans="1:16" x14ac:dyDescent="0.2">
      <c r="A19" s="3" t="s">
        <v>10</v>
      </c>
      <c r="B19" s="10"/>
      <c r="C19" s="11"/>
      <c r="D19" s="11"/>
      <c r="E19" s="11">
        <v>1591.65</v>
      </c>
      <c r="F19" s="10"/>
      <c r="G19" s="11"/>
      <c r="H19" s="10"/>
      <c r="I19" s="16">
        <f>IF((C19-B19+E19-D19+G19-F19)&gt;0,(C19-B19+E19-D19+G19-F19),)</f>
        <v>1591.65</v>
      </c>
      <c r="J19" s="20"/>
      <c r="K19" s="20"/>
      <c r="L19" s="20"/>
      <c r="M19" s="30"/>
      <c r="N19" s="32"/>
      <c r="O19" s="32"/>
      <c r="P19" s="20"/>
    </row>
    <row r="20" spans="1:16" x14ac:dyDescent="0.2">
      <c r="A20" s="3" t="s">
        <v>28</v>
      </c>
      <c r="B20" s="10"/>
      <c r="C20" s="11"/>
      <c r="D20" s="22"/>
      <c r="E20" s="11">
        <v>2500</v>
      </c>
      <c r="F20" s="10"/>
      <c r="G20" s="11"/>
      <c r="H20" s="10"/>
      <c r="I20" s="16">
        <f t="shared" ref="I20:I23" si="0">IF((C20-B20+E20-D20+G20-F20)&gt;0,(C20-B20+E20-D20+G20-F20),)</f>
        <v>2500</v>
      </c>
      <c r="J20" s="20"/>
      <c r="K20" s="20"/>
      <c r="L20" s="20"/>
      <c r="M20" s="30"/>
      <c r="N20" s="32"/>
      <c r="O20" s="32"/>
      <c r="P20" s="20"/>
    </row>
    <row r="21" spans="1:16" x14ac:dyDescent="0.2">
      <c r="A21" s="3" t="s">
        <v>13</v>
      </c>
      <c r="B21" s="10"/>
      <c r="C21" s="11"/>
      <c r="D21" s="37">
        <f>338+600+228.25+107.5+225+124.4+186.75+18.49+20+71.69+71.69+170.95+10+49+81.8+63.5+93.8+111+181.7+440</f>
        <v>3193.5200000000004</v>
      </c>
      <c r="E21" s="22">
        <v>440</v>
      </c>
      <c r="F21" s="10"/>
      <c r="G21" s="11"/>
      <c r="H21" s="10">
        <f>IF((B21-C21+D21-E21+F21-G21)&gt;0,(B21-C21+D21-E21+F21-G21),)</f>
        <v>2753.5200000000004</v>
      </c>
      <c r="I21" s="16"/>
      <c r="J21" s="20"/>
      <c r="K21" s="33"/>
      <c r="L21" s="20"/>
      <c r="M21" s="30"/>
      <c r="N21" s="32"/>
      <c r="O21" s="32"/>
      <c r="P21" s="20"/>
    </row>
    <row r="22" spans="1:16" x14ac:dyDescent="0.2">
      <c r="A22" s="3" t="s">
        <v>29</v>
      </c>
      <c r="B22" s="10"/>
      <c r="C22" s="11"/>
      <c r="D22" s="22"/>
      <c r="E22" s="22"/>
      <c r="F22" s="10"/>
      <c r="G22" s="11"/>
      <c r="H22" s="10">
        <f t="shared" ref="H22:H28" si="1">IF((B22-C22+D22-E22+F22-G22)&gt;0,(B22-C22+D22-E22+F22-G22),)</f>
        <v>0</v>
      </c>
      <c r="I22" s="16"/>
      <c r="J22" s="20"/>
      <c r="K22" s="20"/>
      <c r="L22" s="20"/>
      <c r="M22" s="30"/>
      <c r="N22" s="32"/>
      <c r="O22" s="32"/>
      <c r="P22" s="20"/>
    </row>
    <row r="23" spans="1:16" x14ac:dyDescent="0.2">
      <c r="A23" s="3" t="s">
        <v>31</v>
      </c>
      <c r="B23" s="10"/>
      <c r="C23" s="11"/>
      <c r="D23" s="22"/>
      <c r="E23" s="11">
        <f>18</f>
        <v>18</v>
      </c>
      <c r="F23" s="10"/>
      <c r="G23" s="11"/>
      <c r="H23" s="10">
        <f t="shared" si="1"/>
        <v>0</v>
      </c>
      <c r="I23" s="16">
        <f t="shared" si="0"/>
        <v>18</v>
      </c>
      <c r="J23" s="20"/>
      <c r="K23" s="20"/>
      <c r="L23" s="20"/>
      <c r="M23" s="30"/>
      <c r="N23" s="32"/>
      <c r="O23" s="32"/>
      <c r="P23" s="20"/>
    </row>
    <row r="24" spans="1:16" x14ac:dyDescent="0.2">
      <c r="A24" s="3" t="s">
        <v>12</v>
      </c>
      <c r="B24" s="10"/>
      <c r="C24" s="11"/>
      <c r="D24" s="10">
        <f>22+22+22+22+22+22+22+22+22+22+22+22+6.9+10.9+10.9+10.9+10.9+10.9+20</f>
        <v>345.39999999999986</v>
      </c>
      <c r="E24" s="22"/>
      <c r="F24" s="10"/>
      <c r="G24" s="11"/>
      <c r="H24" s="10">
        <f t="shared" si="1"/>
        <v>345.39999999999986</v>
      </c>
      <c r="I24" s="16"/>
      <c r="J24" s="20"/>
      <c r="K24" s="20"/>
      <c r="L24" s="20"/>
      <c r="M24" s="30"/>
      <c r="N24" s="32"/>
      <c r="O24" s="32"/>
      <c r="P24" s="20"/>
    </row>
    <row r="25" spans="1:16" x14ac:dyDescent="0.2">
      <c r="A25" s="3" t="s">
        <v>26</v>
      </c>
      <c r="B25" s="10"/>
      <c r="C25" s="11"/>
      <c r="D25" s="10">
        <f>605+213.5+213.5+98.64</f>
        <v>1130.6400000000001</v>
      </c>
      <c r="E25" s="22"/>
      <c r="F25" s="10"/>
      <c r="G25" s="11"/>
      <c r="H25" s="10">
        <f t="shared" si="1"/>
        <v>1130.6400000000001</v>
      </c>
      <c r="I25" s="16"/>
      <c r="J25" s="20"/>
      <c r="K25" s="20"/>
      <c r="L25" s="20"/>
      <c r="M25" s="30"/>
      <c r="N25" s="32"/>
      <c r="O25" s="32"/>
      <c r="P25" s="20"/>
    </row>
    <row r="26" spans="1:16" x14ac:dyDescent="0.2">
      <c r="A26" s="3" t="s">
        <v>22</v>
      </c>
      <c r="B26" s="10"/>
      <c r="C26" s="11"/>
      <c r="D26" s="11"/>
      <c r="E26" s="22"/>
      <c r="F26" s="10"/>
      <c r="G26" s="11"/>
      <c r="H26" s="10">
        <f t="shared" si="1"/>
        <v>0</v>
      </c>
      <c r="I26" s="16"/>
      <c r="J26" s="20"/>
      <c r="K26" s="20"/>
      <c r="L26" s="20"/>
      <c r="M26" s="30"/>
      <c r="N26" s="32"/>
      <c r="O26" s="32"/>
      <c r="P26" s="20"/>
    </row>
    <row r="27" spans="1:16" x14ac:dyDescent="0.2">
      <c r="A27" s="3" t="s">
        <v>27</v>
      </c>
      <c r="B27" s="10"/>
      <c r="C27" s="11"/>
      <c r="D27" s="10">
        <f>28.15+179.35+21.78</f>
        <v>229.28</v>
      </c>
      <c r="E27" s="22"/>
      <c r="F27" s="10"/>
      <c r="G27" s="16"/>
      <c r="H27" s="10">
        <f t="shared" si="1"/>
        <v>229.28</v>
      </c>
      <c r="I27" s="16"/>
      <c r="J27" s="20"/>
      <c r="K27" s="20"/>
      <c r="L27" s="20"/>
      <c r="M27" s="30"/>
      <c r="N27" s="32"/>
      <c r="O27" s="32"/>
      <c r="P27" s="20"/>
    </row>
    <row r="28" spans="1:16" x14ac:dyDescent="0.2">
      <c r="A28" s="3" t="s">
        <v>17</v>
      </c>
      <c r="B28" s="10"/>
      <c r="C28" s="11"/>
      <c r="D28" s="10">
        <v>0.24</v>
      </c>
      <c r="E28" s="22"/>
      <c r="F28" s="10"/>
      <c r="G28" s="16"/>
      <c r="H28" s="10">
        <f t="shared" si="1"/>
        <v>0.24</v>
      </c>
      <c r="I28" s="16"/>
      <c r="J28" s="20"/>
      <c r="K28" s="20"/>
      <c r="L28" s="20"/>
      <c r="M28" s="30"/>
      <c r="N28" s="32"/>
      <c r="O28" s="32"/>
      <c r="P28" s="20"/>
    </row>
    <row r="29" spans="1:16" x14ac:dyDescent="0.2">
      <c r="B29" s="10"/>
      <c r="C29" s="11"/>
      <c r="D29" s="10"/>
      <c r="E29" s="16"/>
      <c r="F29" s="10"/>
      <c r="G29" s="16"/>
      <c r="H29" s="10"/>
      <c r="I29" s="16"/>
      <c r="J29" s="20"/>
      <c r="K29" s="20"/>
      <c r="L29" s="20"/>
      <c r="M29" s="30"/>
      <c r="N29" s="32"/>
      <c r="O29" s="32"/>
      <c r="P29" s="20"/>
    </row>
    <row r="30" spans="1:16" x14ac:dyDescent="0.2">
      <c r="A30" s="3" t="s">
        <v>32</v>
      </c>
      <c r="B30" s="10"/>
      <c r="C30" s="11"/>
      <c r="D30" s="10"/>
      <c r="E30" s="16"/>
      <c r="F30" s="10"/>
      <c r="G30" s="16"/>
      <c r="H30" s="10"/>
      <c r="I30" s="16">
        <f>349.4</f>
        <v>349.4</v>
      </c>
      <c r="J30" s="20"/>
      <c r="K30" s="20"/>
      <c r="L30" s="20"/>
      <c r="M30" s="30"/>
      <c r="N30" s="32"/>
      <c r="O30" s="32"/>
      <c r="P30" s="20"/>
    </row>
    <row r="31" spans="1:16" x14ac:dyDescent="0.2">
      <c r="B31" s="13"/>
      <c r="C31" s="14"/>
      <c r="D31" s="15"/>
      <c r="E31" s="14"/>
      <c r="F31" s="15"/>
      <c r="G31" s="14"/>
      <c r="H31" s="10"/>
      <c r="I31" s="16"/>
      <c r="J31" s="20"/>
      <c r="K31" s="20"/>
      <c r="L31" s="20"/>
      <c r="M31" s="30"/>
      <c r="N31" s="32"/>
      <c r="O31" s="32"/>
      <c r="P31" s="20"/>
    </row>
    <row r="32" spans="1:16" ht="12" thickBot="1" x14ac:dyDescent="0.25">
      <c r="B32" s="25">
        <f>SUM(B20:B31)</f>
        <v>0</v>
      </c>
      <c r="C32" s="26">
        <f>SUM(C20:C31)</f>
        <v>0</v>
      </c>
      <c r="D32" s="22">
        <f>SUM(D3:D31)</f>
        <v>32423.54</v>
      </c>
      <c r="E32" s="22">
        <f>SUM(E3:E31)</f>
        <v>32423.54</v>
      </c>
      <c r="F32" s="25">
        <f>SUM(F4:F31)</f>
        <v>0</v>
      </c>
      <c r="G32" s="25">
        <f>SUM(G4:G31)</f>
        <v>0</v>
      </c>
      <c r="H32" s="25">
        <f>SUM(H19:H31)</f>
        <v>4459.08</v>
      </c>
      <c r="I32" s="28">
        <f>SUM(I19:I31)</f>
        <v>4459.0499999999993</v>
      </c>
      <c r="J32" s="20"/>
      <c r="K32" s="20"/>
      <c r="L32" s="20"/>
      <c r="M32" s="30"/>
      <c r="N32" s="34"/>
      <c r="O32" s="32"/>
      <c r="P32" s="20"/>
    </row>
    <row r="33" spans="1:16" ht="12.75" hidden="1" thickTop="1" thickBot="1" x14ac:dyDescent="0.25">
      <c r="B33" s="17">
        <f>C32-B32</f>
        <v>0</v>
      </c>
      <c r="C33" s="19"/>
      <c r="D33" s="17">
        <f>O44-N44</f>
        <v>0</v>
      </c>
      <c r="E33" s="19"/>
      <c r="F33" s="17">
        <f>G32-F32</f>
        <v>0</v>
      </c>
      <c r="G33" s="19"/>
      <c r="H33" s="17">
        <f>I32-H32</f>
        <v>-3.0000000000654836E-2</v>
      </c>
      <c r="I33" s="18"/>
      <c r="J33" s="20"/>
      <c r="K33" s="20"/>
      <c r="L33" s="20"/>
      <c r="M33" s="30"/>
      <c r="N33" s="35"/>
      <c r="O33" s="34"/>
      <c r="P33" s="20"/>
    </row>
    <row r="34" spans="1:16" ht="12" thickTop="1" x14ac:dyDescent="0.2">
      <c r="A34" s="20"/>
      <c r="B34" s="21"/>
      <c r="C34" s="21"/>
      <c r="D34" s="21"/>
      <c r="E34" s="21"/>
      <c r="F34" s="21"/>
      <c r="G34" s="21"/>
      <c r="H34" s="21"/>
      <c r="I34" s="21"/>
      <c r="J34" s="20"/>
      <c r="K34" s="20"/>
      <c r="L34" s="20"/>
      <c r="M34" s="30"/>
      <c r="N34" s="20"/>
      <c r="O34" s="20"/>
      <c r="P34" s="20"/>
    </row>
    <row r="35" spans="1:16" x14ac:dyDescent="0.2">
      <c r="J35" s="20"/>
      <c r="K35" s="20"/>
      <c r="L35" s="20"/>
      <c r="M35" s="30"/>
      <c r="N35" s="32"/>
      <c r="O35" s="20"/>
      <c r="P35" s="20"/>
    </row>
    <row r="36" spans="1:16" x14ac:dyDescent="0.2">
      <c r="J36" s="20"/>
      <c r="K36" s="20"/>
      <c r="L36" s="20"/>
      <c r="M36" s="30"/>
      <c r="N36" s="32"/>
      <c r="O36" s="34"/>
      <c r="P36" s="20"/>
    </row>
    <row r="37" spans="1:16" x14ac:dyDescent="0.2">
      <c r="J37" s="20"/>
      <c r="K37" s="20"/>
      <c r="L37" s="20"/>
      <c r="M37" s="30"/>
      <c r="N37" s="32"/>
      <c r="O37" s="34"/>
      <c r="P37" s="20"/>
    </row>
    <row r="38" spans="1:16" x14ac:dyDescent="0.2">
      <c r="J38" s="20"/>
      <c r="K38" s="20"/>
      <c r="L38" s="20"/>
      <c r="M38" s="30"/>
      <c r="N38" s="32"/>
      <c r="O38" s="34"/>
      <c r="P38" s="20"/>
    </row>
    <row r="39" spans="1:16" x14ac:dyDescent="0.2">
      <c r="J39" s="20"/>
      <c r="K39" s="20"/>
      <c r="L39" s="20"/>
      <c r="M39" s="30"/>
      <c r="N39" s="32"/>
      <c r="O39" s="34"/>
      <c r="P39" s="20"/>
    </row>
    <row r="40" spans="1:16" x14ac:dyDescent="0.2">
      <c r="J40" s="20"/>
      <c r="K40" s="20"/>
      <c r="L40" s="20"/>
      <c r="M40" s="30"/>
      <c r="N40" s="32"/>
      <c r="O40" s="20"/>
      <c r="P40" s="20"/>
    </row>
    <row r="41" spans="1:16" x14ac:dyDescent="0.2">
      <c r="J41" s="20"/>
      <c r="K41" s="20"/>
      <c r="L41" s="20"/>
      <c r="M41" s="30"/>
      <c r="N41" s="32"/>
      <c r="O41" s="32"/>
      <c r="P41" s="20"/>
    </row>
    <row r="42" spans="1:16" x14ac:dyDescent="0.2">
      <c r="J42" s="20"/>
      <c r="K42" s="20"/>
      <c r="L42" s="20"/>
      <c r="M42" s="30"/>
      <c r="N42" s="32"/>
      <c r="O42" s="32"/>
      <c r="P42" s="20"/>
    </row>
    <row r="43" spans="1:16" x14ac:dyDescent="0.2">
      <c r="J43" s="20"/>
      <c r="K43" s="20"/>
      <c r="L43" s="20"/>
      <c r="M43" s="30"/>
      <c r="N43" s="32"/>
      <c r="O43" s="32"/>
      <c r="P43" s="20"/>
    </row>
    <row r="44" spans="1:16" x14ac:dyDescent="0.2">
      <c r="J44" s="20"/>
      <c r="K44" s="20"/>
      <c r="L44" s="20"/>
      <c r="M44" s="30"/>
      <c r="N44" s="36"/>
      <c r="O44" s="36"/>
      <c r="P44" s="20"/>
    </row>
    <row r="45" spans="1:16" x14ac:dyDescent="0.2">
      <c r="J45" s="20"/>
      <c r="K45" s="20"/>
      <c r="L45" s="20"/>
      <c r="M45" s="30"/>
      <c r="N45" s="30"/>
      <c r="O45" s="20"/>
      <c r="P45" s="20"/>
    </row>
  </sheetData>
  <mergeCells count="4">
    <mergeCell ref="B1:C1"/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 xml:space="preserve">&amp;CJaaroverzicht 2017
 - de Maatschappij departement Leiden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Layout" topLeftCell="A2" zoomScaleNormal="100" workbookViewId="0">
      <selection activeCell="H8" sqref="H8"/>
    </sheetView>
  </sheetViews>
  <sheetFormatPr defaultColWidth="9.140625" defaultRowHeight="11.25" x14ac:dyDescent="0.2"/>
  <cols>
    <col min="1" max="1" width="35.42578125" style="3" bestFit="1" customWidth="1"/>
    <col min="2" max="3" width="10.7109375" style="3" bestFit="1" customWidth="1"/>
    <col min="4" max="5" width="8.28515625" style="3" bestFit="1" customWidth="1"/>
    <col min="6" max="7" width="8.85546875" style="3" bestFit="1" customWidth="1"/>
    <col min="8" max="9" width="10.7109375" style="3" bestFit="1" customWidth="1"/>
    <col min="10" max="10" width="9.140625" style="3"/>
    <col min="11" max="11" width="12.7109375" style="3" customWidth="1"/>
    <col min="12" max="12" width="14.85546875" style="3" customWidth="1"/>
    <col min="13" max="14" width="9.140625" style="23"/>
    <col min="15" max="16384" width="9.140625" style="3"/>
  </cols>
  <sheetData>
    <row r="1" spans="1:14" x14ac:dyDescent="0.2">
      <c r="A1" s="1" t="s">
        <v>0</v>
      </c>
      <c r="B1" s="38" t="s">
        <v>1</v>
      </c>
      <c r="C1" s="39"/>
      <c r="D1" s="38" t="s">
        <v>2</v>
      </c>
      <c r="E1" s="39"/>
      <c r="F1" s="38" t="s">
        <v>3</v>
      </c>
      <c r="G1" s="39"/>
      <c r="H1" s="38" t="s">
        <v>4</v>
      </c>
      <c r="I1" s="40"/>
      <c r="J1" s="2"/>
      <c r="K1" s="24" t="s">
        <v>23</v>
      </c>
    </row>
    <row r="2" spans="1:14" x14ac:dyDescent="0.2">
      <c r="A2" s="1"/>
      <c r="B2" s="4" t="s">
        <v>5</v>
      </c>
      <c r="C2" s="5" t="s">
        <v>6</v>
      </c>
      <c r="D2" s="4" t="s">
        <v>5</v>
      </c>
      <c r="E2" s="6" t="s">
        <v>6</v>
      </c>
      <c r="F2" s="4" t="s">
        <v>5</v>
      </c>
      <c r="G2" s="6" t="s">
        <v>6</v>
      </c>
      <c r="H2" s="4" t="s">
        <v>5</v>
      </c>
      <c r="I2" s="6" t="s">
        <v>6</v>
      </c>
      <c r="J2" s="2"/>
    </row>
    <row r="3" spans="1:14" x14ac:dyDescent="0.2">
      <c r="B3" s="7"/>
      <c r="C3" s="8"/>
      <c r="D3" s="7"/>
      <c r="E3" s="8"/>
      <c r="F3" s="7"/>
      <c r="G3" s="8"/>
      <c r="H3" s="7"/>
      <c r="I3" s="8"/>
      <c r="J3" s="9"/>
      <c r="K3" s="3" t="s">
        <v>19</v>
      </c>
      <c r="L3" s="3" t="s">
        <v>24</v>
      </c>
    </row>
    <row r="4" spans="1:14" x14ac:dyDescent="0.2">
      <c r="B4" s="10"/>
      <c r="C4" s="11"/>
      <c r="D4" s="10"/>
      <c r="E4" s="11"/>
      <c r="F4" s="10"/>
      <c r="G4" s="11"/>
      <c r="H4" s="10"/>
      <c r="I4" s="11"/>
      <c r="J4" s="9"/>
      <c r="K4" s="3" t="s">
        <v>20</v>
      </c>
      <c r="N4" s="23">
        <f>M3</f>
        <v>0</v>
      </c>
    </row>
    <row r="5" spans="1:14" x14ac:dyDescent="0.2">
      <c r="A5" s="3" t="s">
        <v>8</v>
      </c>
      <c r="B5" s="10">
        <f>'de Maatschappij - 2015'!H5</f>
        <v>3313</v>
      </c>
      <c r="C5" s="11"/>
      <c r="D5" s="10"/>
      <c r="E5" s="11">
        <v>2279</v>
      </c>
      <c r="F5" s="10"/>
      <c r="G5" s="11"/>
      <c r="H5" s="10">
        <f>IF((B5-C5+D5-E5+F5-G5)&gt;0,(B5-C5+D5-E5+F5-G5),)+F6</f>
        <v>1034</v>
      </c>
      <c r="I5" s="11"/>
      <c r="J5" s="9">
        <f>3313-1034</f>
        <v>2279</v>
      </c>
    </row>
    <row r="6" spans="1:14" x14ac:dyDescent="0.2">
      <c r="A6" s="3" t="s">
        <v>11</v>
      </c>
      <c r="B6" s="10">
        <f>'de Maatschappij - 2015'!H6</f>
        <v>28890.579999999998</v>
      </c>
      <c r="C6" s="11"/>
      <c r="D6" s="10">
        <f>7.28+7.21+7.21+7.29</f>
        <v>28.99</v>
      </c>
      <c r="E6" s="11">
        <v>5445</v>
      </c>
      <c r="F6" s="10"/>
      <c r="G6" s="11"/>
      <c r="H6" s="10">
        <f>IF((B6-C6+D6-E6+F6-G6)&gt;0,(B6-C6+D6-E6+F6-G6),)+F7</f>
        <v>23474.57</v>
      </c>
      <c r="I6" s="11"/>
      <c r="J6" s="9"/>
      <c r="K6" s="22"/>
    </row>
    <row r="7" spans="1:14" x14ac:dyDescent="0.2">
      <c r="B7" s="10"/>
      <c r="C7" s="11"/>
      <c r="D7" s="10"/>
      <c r="E7" s="11"/>
      <c r="F7" s="10"/>
      <c r="G7" s="11"/>
      <c r="H7" s="10"/>
      <c r="I7" s="11"/>
      <c r="J7" s="9"/>
      <c r="K7" s="22"/>
    </row>
    <row r="8" spans="1:14" x14ac:dyDescent="0.2">
      <c r="A8" s="3" t="s">
        <v>16</v>
      </c>
      <c r="B8" s="10">
        <f>'de Maatschappij - 2015'!H8</f>
        <v>952.28</v>
      </c>
      <c r="C8" s="11"/>
      <c r="D8" s="10"/>
      <c r="E8" s="11">
        <f>7.28+945</f>
        <v>952.28</v>
      </c>
      <c r="F8" s="10"/>
      <c r="G8" s="11"/>
      <c r="H8" s="10">
        <f t="shared" ref="H8" si="0">IF((B8-C8+D8-E8+F8-G8)&gt;0,(B8-C8+D8-E8+F8-G8),)</f>
        <v>0</v>
      </c>
      <c r="I8" s="11"/>
      <c r="J8" s="9"/>
    </row>
    <row r="9" spans="1:14" x14ac:dyDescent="0.2">
      <c r="B9" s="10"/>
      <c r="C9" s="11"/>
      <c r="D9" s="10"/>
      <c r="E9" s="11"/>
      <c r="F9" s="10"/>
      <c r="G9" s="11"/>
      <c r="H9" s="10"/>
      <c r="I9" s="11"/>
      <c r="J9" s="9"/>
    </row>
    <row r="10" spans="1:14" x14ac:dyDescent="0.2">
      <c r="A10" s="3" t="s">
        <v>14</v>
      </c>
      <c r="B10" s="10"/>
      <c r="C10" s="11">
        <f>'de Maatschappij - 2015'!I10</f>
        <v>411</v>
      </c>
      <c r="D10" s="10">
        <f>75+51+250+35</f>
        <v>411</v>
      </c>
      <c r="E10" s="11"/>
      <c r="F10" s="10"/>
      <c r="G10" s="11"/>
      <c r="H10" s="12"/>
      <c r="I10" s="11">
        <f>IF((C10-B10+E10-D10+G10-F10)&gt;0,(C10-B10+E10-D10+G10-F10),)</f>
        <v>0</v>
      </c>
      <c r="J10" s="9"/>
    </row>
    <row r="11" spans="1:14" x14ac:dyDescent="0.2">
      <c r="B11" s="10"/>
      <c r="C11" s="11"/>
      <c r="D11" s="10"/>
      <c r="E11" s="11"/>
      <c r="F11" s="10"/>
      <c r="G11" s="11"/>
      <c r="H11" s="10"/>
      <c r="I11" s="11"/>
      <c r="J11" s="9"/>
    </row>
    <row r="12" spans="1:14" x14ac:dyDescent="0.2">
      <c r="A12" s="3" t="s">
        <v>9</v>
      </c>
      <c r="B12" s="10"/>
      <c r="C12" s="11">
        <f>'de Maatschappij - 2015'!I12+'de Maatschappij - 2015'!I14</f>
        <v>32744.86</v>
      </c>
      <c r="D12" s="10"/>
      <c r="E12" s="11"/>
      <c r="F12" s="10"/>
      <c r="G12" s="11"/>
      <c r="H12" s="10"/>
      <c r="I12" s="11">
        <f>IF((C12-B12+E12-D12+G12-F12)&gt;0,(C12-B12+E12-D12+G12-F12),)</f>
        <v>32744.86</v>
      </c>
      <c r="J12" s="9"/>
    </row>
    <row r="13" spans="1:14" x14ac:dyDescent="0.2">
      <c r="B13" s="10"/>
      <c r="C13" s="11"/>
      <c r="D13" s="10"/>
      <c r="E13" s="11"/>
      <c r="F13" s="10"/>
      <c r="G13" s="11"/>
      <c r="H13" s="10"/>
      <c r="I13" s="11"/>
      <c r="J13" s="9"/>
    </row>
    <row r="14" spans="1:14" x14ac:dyDescent="0.2">
      <c r="B14" s="10"/>
      <c r="C14" s="11"/>
      <c r="D14" s="10"/>
      <c r="E14" s="11"/>
      <c r="F14" s="10"/>
      <c r="G14" s="11"/>
      <c r="H14" s="10"/>
      <c r="I14" s="11">
        <f>H30-I30</f>
        <v>-8236.2900000000009</v>
      </c>
      <c r="J14" s="9"/>
    </row>
    <row r="15" spans="1:14" x14ac:dyDescent="0.2">
      <c r="B15" s="13"/>
      <c r="C15" s="14"/>
      <c r="D15" s="10"/>
      <c r="E15" s="11"/>
      <c r="F15" s="10"/>
      <c r="G15" s="11"/>
      <c r="H15" s="15"/>
      <c r="I15" s="14"/>
      <c r="J15" s="9"/>
    </row>
    <row r="16" spans="1:14" ht="12" thickBot="1" x14ac:dyDescent="0.25">
      <c r="B16" s="25">
        <f>SUM(B4:B15)</f>
        <v>33155.86</v>
      </c>
      <c r="C16" s="26">
        <f>SUM(C4:C15)</f>
        <v>33155.86</v>
      </c>
      <c r="D16" s="10"/>
      <c r="E16" s="11"/>
      <c r="F16" s="10"/>
      <c r="G16" s="11"/>
      <c r="H16" s="25">
        <f>SUM(H4:H15)</f>
        <v>24508.57</v>
      </c>
      <c r="I16" s="26">
        <f>SUM(I4:I15)</f>
        <v>24508.57</v>
      </c>
      <c r="J16" s="9"/>
    </row>
    <row r="17" spans="1:10" ht="12" hidden="1" thickBot="1" x14ac:dyDescent="0.25">
      <c r="B17" s="17">
        <f>C16-B16</f>
        <v>0</v>
      </c>
      <c r="C17" s="18"/>
      <c r="D17" s="10"/>
      <c r="E17" s="11"/>
      <c r="F17" s="10"/>
      <c r="G17" s="11"/>
      <c r="H17" s="17">
        <f>I16-H16</f>
        <v>0</v>
      </c>
      <c r="I17" s="19"/>
      <c r="J17" s="9"/>
    </row>
    <row r="18" spans="1:10" ht="12" thickTop="1" x14ac:dyDescent="0.2">
      <c r="B18" s="10"/>
      <c r="C18" s="11"/>
      <c r="D18" s="10"/>
      <c r="E18" s="11"/>
      <c r="F18" s="10"/>
      <c r="G18" s="11"/>
      <c r="H18" s="10"/>
      <c r="I18" s="11"/>
      <c r="J18" s="9"/>
    </row>
    <row r="19" spans="1:10" x14ac:dyDescent="0.2">
      <c r="A19" s="3" t="s">
        <v>10</v>
      </c>
      <c r="B19" s="10"/>
      <c r="C19" s="11"/>
      <c r="D19" s="10"/>
      <c r="E19" s="11"/>
      <c r="F19" s="10"/>
      <c r="G19" s="11"/>
      <c r="H19" s="10"/>
      <c r="I19" s="11">
        <f>IF((C19-B19+E19-D19+G19-F19)&gt;0,(C19-B19+E19-D19+G19-F19),)</f>
        <v>0</v>
      </c>
      <c r="J19" s="9"/>
    </row>
    <row r="20" spans="1:10" x14ac:dyDescent="0.2">
      <c r="B20" s="10"/>
      <c r="C20" s="11"/>
      <c r="D20" s="10"/>
      <c r="E20" s="11"/>
      <c r="F20" s="10"/>
      <c r="G20" s="11"/>
      <c r="H20" s="10"/>
      <c r="I20" s="11"/>
      <c r="J20" s="9"/>
    </row>
    <row r="21" spans="1:10" x14ac:dyDescent="0.2">
      <c r="A21" s="3" t="s">
        <v>13</v>
      </c>
      <c r="B21" s="10"/>
      <c r="C21" s="11"/>
      <c r="D21" s="10">
        <f>530+155+58+69+265+655+484+27</f>
        <v>2243</v>
      </c>
      <c r="E21" s="11"/>
      <c r="F21" s="10"/>
      <c r="G21" s="11"/>
      <c r="H21" s="10">
        <f t="shared" ref="H21:H24" si="1">IF((B21-C21+D21-E21+F21-G21)&gt;0,(B21-C21+D21-E21+F21-G21),)</f>
        <v>2243</v>
      </c>
      <c r="I21" s="11"/>
      <c r="J21" s="9"/>
    </row>
    <row r="22" spans="1:10" x14ac:dyDescent="0.2">
      <c r="A22" s="3" t="s">
        <v>26</v>
      </c>
      <c r="B22" s="10"/>
      <c r="C22" s="11"/>
      <c r="D22" s="10">
        <v>5445</v>
      </c>
      <c r="E22" s="11"/>
      <c r="F22" s="10"/>
      <c r="G22" s="11"/>
      <c r="H22" s="10">
        <v>5445</v>
      </c>
      <c r="I22" s="11"/>
      <c r="J22" s="9"/>
    </row>
    <row r="23" spans="1:10" x14ac:dyDescent="0.2">
      <c r="A23" s="3" t="s">
        <v>25</v>
      </c>
      <c r="B23" s="10"/>
      <c r="C23" s="11"/>
      <c r="D23" s="10">
        <v>39</v>
      </c>
      <c r="E23" s="11"/>
      <c r="F23" s="10"/>
      <c r="G23" s="11"/>
      <c r="H23" s="10">
        <f t="shared" si="1"/>
        <v>39</v>
      </c>
      <c r="I23" s="11"/>
      <c r="J23" s="9"/>
    </row>
    <row r="24" spans="1:10" x14ac:dyDescent="0.2">
      <c r="A24" s="3" t="s">
        <v>12</v>
      </c>
      <c r="B24" s="10"/>
      <c r="C24" s="11"/>
      <c r="D24" s="10">
        <f>16+22+25+20+22+22+22+22+22+22+22+22+22</f>
        <v>281</v>
      </c>
      <c r="E24" s="11"/>
      <c r="F24" s="10"/>
      <c r="G24" s="11"/>
      <c r="H24" s="10">
        <f t="shared" si="1"/>
        <v>281</v>
      </c>
      <c r="I24" s="11"/>
      <c r="J24" s="9"/>
    </row>
    <row r="25" spans="1:10" x14ac:dyDescent="0.2">
      <c r="B25" s="10"/>
      <c r="C25" s="11"/>
      <c r="D25" s="10"/>
      <c r="E25" s="11"/>
      <c r="F25" s="10"/>
      <c r="G25" s="11"/>
      <c r="H25" s="10"/>
      <c r="I25" s="11"/>
      <c r="J25" s="9"/>
    </row>
    <row r="26" spans="1:10" x14ac:dyDescent="0.2">
      <c r="A26" s="3" t="s">
        <v>22</v>
      </c>
      <c r="B26" s="10"/>
      <c r="C26" s="11"/>
      <c r="D26" s="10">
        <v>250</v>
      </c>
      <c r="E26" s="11"/>
      <c r="F26" s="10"/>
      <c r="G26" s="11"/>
      <c r="H26" s="10">
        <f t="shared" ref="H26" si="2">IF((B26-C26+D26-E26+F26-G26)&gt;0,(B26-C26+D26-E26+F26-G26),)</f>
        <v>250</v>
      </c>
      <c r="I26" s="11"/>
      <c r="J26" s="9"/>
    </row>
    <row r="27" spans="1:10" x14ac:dyDescent="0.2">
      <c r="B27" s="10"/>
      <c r="C27" s="11"/>
      <c r="D27" s="10"/>
      <c r="E27" s="16"/>
      <c r="F27" s="10"/>
      <c r="G27" s="16"/>
      <c r="H27" s="10"/>
      <c r="I27" s="11"/>
      <c r="J27" s="9"/>
    </row>
    <row r="28" spans="1:10" x14ac:dyDescent="0.2">
      <c r="A28" s="3" t="s">
        <v>17</v>
      </c>
      <c r="B28" s="10"/>
      <c r="C28" s="11"/>
      <c r="D28" s="10"/>
      <c r="E28" s="16">
        <f>7.21+7.21+7.29</f>
        <v>21.71</v>
      </c>
      <c r="F28" s="10"/>
      <c r="G28" s="16"/>
      <c r="H28" s="10"/>
      <c r="I28" s="11">
        <f>-B28+C28-D28+E28-F28+G28</f>
        <v>21.71</v>
      </c>
      <c r="J28" s="9"/>
    </row>
    <row r="29" spans="1:10" x14ac:dyDescent="0.2">
      <c r="B29" s="10"/>
      <c r="C29" s="11"/>
      <c r="D29" s="10"/>
      <c r="E29" s="16"/>
      <c r="F29" s="10"/>
      <c r="G29" s="16"/>
      <c r="H29" s="10"/>
      <c r="I29" s="11"/>
      <c r="J29" s="9"/>
    </row>
    <row r="30" spans="1:10" x14ac:dyDescent="0.2">
      <c r="A30" s="3" t="s">
        <v>7</v>
      </c>
      <c r="B30" s="10"/>
      <c r="C30" s="11"/>
      <c r="D30" s="10"/>
      <c r="E30" s="16"/>
      <c r="F30" s="10"/>
      <c r="G30" s="16"/>
      <c r="H30" s="10">
        <f>IF((SUM(I19:I28)-SUM(H19:H28))&gt;0,(SUM(I19:I28)-SUM(H19:H28)),0)</f>
        <v>0</v>
      </c>
      <c r="I30" s="11">
        <f>IF((SUM(I19:I28)-SUM(H19:H28))&lt;0,(-SUM(I19:I28)+SUM(H19:H28)),0)</f>
        <v>8236.2900000000009</v>
      </c>
      <c r="J30" s="9"/>
    </row>
    <row r="31" spans="1:10" x14ac:dyDescent="0.2">
      <c r="B31" s="13"/>
      <c r="C31" s="14"/>
      <c r="D31" s="15"/>
      <c r="E31" s="14"/>
      <c r="F31" s="15"/>
      <c r="G31" s="14"/>
      <c r="H31" s="15"/>
      <c r="I31" s="14"/>
      <c r="J31" s="9"/>
    </row>
    <row r="32" spans="1:10" ht="12" thickBot="1" x14ac:dyDescent="0.25">
      <c r="B32" s="25">
        <f>SUM(B20:B31)</f>
        <v>0</v>
      </c>
      <c r="C32" s="26">
        <f>SUM(C20:C31)</f>
        <v>0</v>
      </c>
      <c r="D32" s="25">
        <f>SUM(D4:D31)</f>
        <v>8697.99</v>
      </c>
      <c r="E32" s="25">
        <f>SUM(E4:E31)</f>
        <v>8697.99</v>
      </c>
      <c r="F32" s="25">
        <f>SUM(F4:F31)</f>
        <v>0</v>
      </c>
      <c r="G32" s="25">
        <f>SUM(G4:G31)</f>
        <v>0</v>
      </c>
      <c r="H32" s="25">
        <f>SUM(H19:H31)</f>
        <v>8258</v>
      </c>
      <c r="I32" s="26">
        <f>SUM(I19:I31)</f>
        <v>8258</v>
      </c>
      <c r="J32" s="9"/>
    </row>
    <row r="33" spans="1:10" ht="12" hidden="1" thickBot="1" x14ac:dyDescent="0.25">
      <c r="B33" s="17">
        <f>C32-B32</f>
        <v>0</v>
      </c>
      <c r="C33" s="19"/>
      <c r="D33" s="17">
        <f>E32-D32</f>
        <v>0</v>
      </c>
      <c r="E33" s="19"/>
      <c r="F33" s="17">
        <f>G32-F32</f>
        <v>0</v>
      </c>
      <c r="G33" s="19"/>
      <c r="H33" s="17">
        <f>I32-H32</f>
        <v>0</v>
      </c>
      <c r="I33" s="19"/>
      <c r="J33" s="9"/>
    </row>
    <row r="34" spans="1:10" ht="12" thickTop="1" x14ac:dyDescent="0.2">
      <c r="A34" s="20"/>
      <c r="B34" s="21"/>
      <c r="C34" s="21"/>
      <c r="D34" s="21"/>
      <c r="E34" s="21"/>
      <c r="F34" s="21"/>
      <c r="G34" s="21"/>
      <c r="H34" s="21"/>
      <c r="I34" s="21"/>
      <c r="J34" s="20"/>
    </row>
  </sheetData>
  <mergeCells count="4">
    <mergeCell ref="B1:C1"/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 xml:space="preserve">&amp;CJaaroverzicht 2016 - de Maatschappij departement Leiden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Layout" zoomScaleNormal="100" workbookViewId="0">
      <selection activeCell="H8" sqref="H8"/>
    </sheetView>
  </sheetViews>
  <sheetFormatPr defaultColWidth="9.140625" defaultRowHeight="11.25" x14ac:dyDescent="0.2"/>
  <cols>
    <col min="1" max="1" width="35.42578125" style="3" bestFit="1" customWidth="1"/>
    <col min="2" max="3" width="10.7109375" style="3" bestFit="1" customWidth="1"/>
    <col min="4" max="5" width="8.28515625" style="3" bestFit="1" customWidth="1"/>
    <col min="6" max="7" width="8.85546875" style="3" bestFit="1" customWidth="1"/>
    <col min="8" max="9" width="10.7109375" style="3" bestFit="1" customWidth="1"/>
    <col min="10" max="10" width="9.140625" style="3"/>
    <col min="11" max="11" width="12.7109375" style="3" customWidth="1"/>
    <col min="12" max="12" width="14.85546875" style="3" customWidth="1"/>
    <col min="13" max="14" width="9.140625" style="23"/>
    <col min="15" max="16384" width="9.140625" style="3"/>
  </cols>
  <sheetData>
    <row r="1" spans="1:14" x14ac:dyDescent="0.2">
      <c r="A1" s="1" t="s">
        <v>0</v>
      </c>
      <c r="B1" s="38" t="s">
        <v>1</v>
      </c>
      <c r="C1" s="39"/>
      <c r="D1" s="38" t="s">
        <v>2</v>
      </c>
      <c r="E1" s="39"/>
      <c r="F1" s="38" t="s">
        <v>3</v>
      </c>
      <c r="G1" s="39"/>
      <c r="H1" s="38" t="s">
        <v>4</v>
      </c>
      <c r="I1" s="40"/>
      <c r="J1" s="2"/>
      <c r="K1" s="24" t="s">
        <v>18</v>
      </c>
    </row>
    <row r="2" spans="1:14" x14ac:dyDescent="0.2">
      <c r="A2" s="1"/>
      <c r="B2" s="4" t="s">
        <v>5</v>
      </c>
      <c r="C2" s="5" t="s">
        <v>6</v>
      </c>
      <c r="D2" s="4" t="s">
        <v>5</v>
      </c>
      <c r="E2" s="6" t="s">
        <v>6</v>
      </c>
      <c r="F2" s="4" t="s">
        <v>5</v>
      </c>
      <c r="G2" s="6" t="s">
        <v>6</v>
      </c>
      <c r="H2" s="4" t="s">
        <v>5</v>
      </c>
      <c r="I2" s="6" t="s">
        <v>6</v>
      </c>
      <c r="J2" s="2"/>
    </row>
    <row r="3" spans="1:14" x14ac:dyDescent="0.2">
      <c r="B3" s="7"/>
      <c r="C3" s="8"/>
      <c r="D3" s="7"/>
      <c r="E3" s="8"/>
      <c r="F3" s="7"/>
      <c r="G3" s="8"/>
      <c r="H3" s="7"/>
      <c r="I3" s="8"/>
      <c r="J3" s="9"/>
      <c r="K3" s="3" t="s">
        <v>19</v>
      </c>
      <c r="L3" s="3" t="s">
        <v>21</v>
      </c>
      <c r="M3" s="23">
        <v>945</v>
      </c>
    </row>
    <row r="4" spans="1:14" x14ac:dyDescent="0.2">
      <c r="B4" s="10"/>
      <c r="C4" s="11"/>
      <c r="D4" s="10"/>
      <c r="E4" s="11"/>
      <c r="F4" s="10"/>
      <c r="G4" s="11"/>
      <c r="H4" s="10"/>
      <c r="I4" s="11"/>
      <c r="J4" s="9"/>
      <c r="K4" s="3" t="s">
        <v>20</v>
      </c>
      <c r="N4" s="23">
        <f>M3</f>
        <v>945</v>
      </c>
    </row>
    <row r="5" spans="1:14" x14ac:dyDescent="0.2">
      <c r="A5" s="3" t="s">
        <v>8</v>
      </c>
      <c r="B5" s="10">
        <v>2753</v>
      </c>
      <c r="C5" s="11"/>
      <c r="D5" s="10">
        <v>560</v>
      </c>
      <c r="E5" s="11"/>
      <c r="F5" s="10"/>
      <c r="G5" s="11"/>
      <c r="H5" s="10">
        <f>IF((B5-C5+D5-E5+F5-G5)&gt;0,(B5-C5+D5-E5+F5-G5),)+F6</f>
        <v>3313</v>
      </c>
      <c r="I5" s="11"/>
      <c r="J5" s="9"/>
    </row>
    <row r="6" spans="1:14" x14ac:dyDescent="0.2">
      <c r="A6" s="3" t="s">
        <v>11</v>
      </c>
      <c r="B6" s="10">
        <v>28859.1</v>
      </c>
      <c r="C6" s="11"/>
      <c r="D6" s="10">
        <f>12.02+12.18+7.28</f>
        <v>31.48</v>
      </c>
      <c r="E6" s="11"/>
      <c r="F6" s="10"/>
      <c r="G6" s="11"/>
      <c r="H6" s="10">
        <f>IF((B6-C6+D6-E6+F6-G6)&gt;0,(B6-C6+D6-E6+F6-G6),)+F7</f>
        <v>28890.579999999998</v>
      </c>
      <c r="I6" s="11"/>
      <c r="J6" s="9"/>
      <c r="K6" s="22"/>
    </row>
    <row r="7" spans="1:14" x14ac:dyDescent="0.2">
      <c r="B7" s="10"/>
      <c r="C7" s="11"/>
      <c r="D7" s="10"/>
      <c r="E7" s="11"/>
      <c r="F7" s="10"/>
      <c r="G7" s="11"/>
      <c r="H7" s="10"/>
      <c r="I7" s="11"/>
      <c r="J7" s="9"/>
      <c r="K7" s="22"/>
    </row>
    <row r="8" spans="1:14" x14ac:dyDescent="0.2">
      <c r="A8" s="3" t="s">
        <v>16</v>
      </c>
      <c r="B8" s="10">
        <v>837</v>
      </c>
      <c r="C8" s="11"/>
      <c r="D8" s="10">
        <v>7.28</v>
      </c>
      <c r="E8" s="11">
        <v>837</v>
      </c>
      <c r="F8" s="10">
        <v>945</v>
      </c>
      <c r="G8" s="11"/>
      <c r="H8" s="10">
        <f t="shared" ref="H8" si="0">IF((B8-C8+D8-E8+F8-G8)&gt;0,(B8-C8+D8-E8+F8-G8),)</f>
        <v>952.28</v>
      </c>
      <c r="I8" s="11"/>
      <c r="J8" s="9"/>
    </row>
    <row r="9" spans="1:14" x14ac:dyDescent="0.2">
      <c r="B9" s="10"/>
      <c r="C9" s="11"/>
      <c r="D9" s="10"/>
      <c r="E9" s="11"/>
      <c r="F9" s="10"/>
      <c r="G9" s="11"/>
      <c r="H9" s="10"/>
      <c r="I9" s="11"/>
      <c r="J9" s="9"/>
    </row>
    <row r="10" spans="1:14" x14ac:dyDescent="0.2">
      <c r="A10" s="3" t="s">
        <v>14</v>
      </c>
      <c r="B10" s="10"/>
      <c r="C10" s="11">
        <v>857</v>
      </c>
      <c r="D10" s="10">
        <v>857</v>
      </c>
      <c r="E10" s="11"/>
      <c r="F10" s="10"/>
      <c r="G10" s="11">
        <f>75+51+250+35</f>
        <v>411</v>
      </c>
      <c r="H10" s="12"/>
      <c r="I10" s="11">
        <f>IF((C10-B10+E10-D10+G10-F10)&gt;0,(C10-B10+E10-D10+G10-F10),)</f>
        <v>411</v>
      </c>
      <c r="J10" s="9"/>
    </row>
    <row r="11" spans="1:14" x14ac:dyDescent="0.2">
      <c r="B11" s="10"/>
      <c r="C11" s="11"/>
      <c r="D11" s="10"/>
      <c r="E11" s="11"/>
      <c r="F11" s="10"/>
      <c r="G11" s="11"/>
      <c r="H11" s="10"/>
      <c r="I11" s="11"/>
      <c r="J11" s="9"/>
    </row>
    <row r="12" spans="1:14" x14ac:dyDescent="0.2">
      <c r="A12" s="3" t="s">
        <v>9</v>
      </c>
      <c r="B12" s="10"/>
      <c r="C12" s="11">
        <v>31592.1</v>
      </c>
      <c r="D12" s="10"/>
      <c r="E12" s="11"/>
      <c r="F12" s="10"/>
      <c r="G12" s="11"/>
      <c r="H12" s="10"/>
      <c r="I12" s="11">
        <f>IF((C12-B12+E12-D12+G12-F12)&gt;0,(C12-B12+E12-D12+G12-F12),)</f>
        <v>31592.1</v>
      </c>
      <c r="J12" s="9"/>
    </row>
    <row r="13" spans="1:14" x14ac:dyDescent="0.2">
      <c r="B13" s="10"/>
      <c r="C13" s="11"/>
      <c r="D13" s="10"/>
      <c r="E13" s="11"/>
      <c r="F13" s="10"/>
      <c r="G13" s="11"/>
      <c r="H13" s="10"/>
      <c r="I13" s="11"/>
      <c r="J13" s="9"/>
    </row>
    <row r="14" spans="1:14" x14ac:dyDescent="0.2">
      <c r="B14" s="10"/>
      <c r="C14" s="11"/>
      <c r="D14" s="10"/>
      <c r="E14" s="11"/>
      <c r="F14" s="10"/>
      <c r="G14" s="11"/>
      <c r="H14" s="10"/>
      <c r="I14" s="11">
        <f>H30</f>
        <v>1152.7600000000002</v>
      </c>
      <c r="J14" s="9"/>
    </row>
    <row r="15" spans="1:14" x14ac:dyDescent="0.2">
      <c r="B15" s="13"/>
      <c r="C15" s="14"/>
      <c r="D15" s="10"/>
      <c r="E15" s="11"/>
      <c r="F15" s="10"/>
      <c r="G15" s="11"/>
      <c r="H15" s="15"/>
      <c r="I15" s="14"/>
      <c r="J15" s="9"/>
    </row>
    <row r="16" spans="1:14" ht="12" thickBot="1" x14ac:dyDescent="0.25">
      <c r="B16" s="25">
        <f>SUM(B4:B15)</f>
        <v>32449.1</v>
      </c>
      <c r="C16" s="26">
        <f>SUM(C4:C15)</f>
        <v>32449.1</v>
      </c>
      <c r="D16" s="10"/>
      <c r="E16" s="11"/>
      <c r="F16" s="10"/>
      <c r="G16" s="11"/>
      <c r="H16" s="25">
        <f>SUM(H4:H15)</f>
        <v>33155.86</v>
      </c>
      <c r="I16" s="26">
        <f>SUM(I4:I15)</f>
        <v>33155.86</v>
      </c>
      <c r="J16" s="9"/>
    </row>
    <row r="17" spans="1:10" ht="12" hidden="1" thickBot="1" x14ac:dyDescent="0.25">
      <c r="B17" s="17">
        <f>C16-B16</f>
        <v>0</v>
      </c>
      <c r="C17" s="18"/>
      <c r="D17" s="10"/>
      <c r="E17" s="11"/>
      <c r="F17" s="10"/>
      <c r="G17" s="11"/>
      <c r="H17" s="17">
        <f>I16-H16</f>
        <v>0</v>
      </c>
      <c r="I17" s="19"/>
      <c r="J17" s="9"/>
    </row>
    <row r="18" spans="1:10" ht="12" thickTop="1" x14ac:dyDescent="0.2">
      <c r="B18" s="10"/>
      <c r="C18" s="11"/>
      <c r="D18" s="10"/>
      <c r="E18" s="11"/>
      <c r="F18" s="10"/>
      <c r="G18" s="11"/>
      <c r="H18" s="10"/>
      <c r="I18" s="11"/>
      <c r="J18" s="9"/>
    </row>
    <row r="19" spans="1:10" x14ac:dyDescent="0.2">
      <c r="A19" s="3" t="s">
        <v>10</v>
      </c>
      <c r="B19" s="10"/>
      <c r="C19" s="11"/>
      <c r="D19" s="10"/>
      <c r="E19" s="11">
        <v>1740</v>
      </c>
      <c r="F19" s="10"/>
      <c r="G19" s="11">
        <v>945</v>
      </c>
      <c r="H19" s="10"/>
      <c r="I19" s="11">
        <f>IF((C19-B19+E19-D19+G19-F19)&gt;0,(C19-B19+E19-D19+G19-F19),)</f>
        <v>2685</v>
      </c>
      <c r="J19" s="9"/>
    </row>
    <row r="20" spans="1:10" x14ac:dyDescent="0.2">
      <c r="B20" s="10"/>
      <c r="C20" s="11"/>
      <c r="D20" s="10"/>
      <c r="E20" s="11"/>
      <c r="F20" s="10"/>
      <c r="G20" s="11"/>
      <c r="H20" s="10"/>
      <c r="I20" s="11"/>
      <c r="J20" s="9"/>
    </row>
    <row r="21" spans="1:10" x14ac:dyDescent="0.2">
      <c r="A21" s="3" t="s">
        <v>13</v>
      </c>
      <c r="B21" s="10"/>
      <c r="C21" s="11"/>
      <c r="D21" s="10">
        <f>150+150+24+34+180+403</f>
        <v>941</v>
      </c>
      <c r="E21" s="11"/>
      <c r="F21" s="10">
        <f>75+51+35</f>
        <v>161</v>
      </c>
      <c r="G21" s="11"/>
      <c r="H21" s="10">
        <f t="shared" ref="H21:H24" si="1">IF((B21-C21+D21-E21+F21-G21)&gt;0,(B21-C21+D21-E21+F21-G21),)</f>
        <v>1102</v>
      </c>
      <c r="I21" s="11"/>
      <c r="J21" s="9"/>
    </row>
    <row r="22" spans="1:10" x14ac:dyDescent="0.2">
      <c r="B22" s="10"/>
      <c r="C22" s="11"/>
      <c r="D22" s="10"/>
      <c r="E22" s="11"/>
      <c r="F22" s="10"/>
      <c r="G22" s="11"/>
      <c r="H22" s="10"/>
      <c r="I22" s="11"/>
      <c r="J22" s="9"/>
    </row>
    <row r="23" spans="1:10" x14ac:dyDescent="0.2">
      <c r="A23" s="3" t="s">
        <v>15</v>
      </c>
      <c r="B23" s="10"/>
      <c r="C23" s="11"/>
      <c r="D23" s="10">
        <v>9</v>
      </c>
      <c r="E23" s="11"/>
      <c r="F23" s="10"/>
      <c r="G23" s="11"/>
      <c r="H23" s="10">
        <f t="shared" si="1"/>
        <v>9</v>
      </c>
      <c r="I23" s="11"/>
      <c r="J23" s="9"/>
    </row>
    <row r="24" spans="1:10" x14ac:dyDescent="0.2">
      <c r="A24" s="3" t="s">
        <v>12</v>
      </c>
      <c r="B24" s="10"/>
      <c r="C24" s="11"/>
      <c r="D24" s="10">
        <f>16*12+18</f>
        <v>210</v>
      </c>
      <c r="E24" s="11"/>
      <c r="F24" s="10"/>
      <c r="G24" s="11"/>
      <c r="H24" s="10">
        <f t="shared" si="1"/>
        <v>210</v>
      </c>
      <c r="I24" s="11"/>
      <c r="J24" s="9"/>
    </row>
    <row r="25" spans="1:10" x14ac:dyDescent="0.2">
      <c r="B25" s="10"/>
      <c r="C25" s="11"/>
      <c r="D25" s="10"/>
      <c r="E25" s="11"/>
      <c r="F25" s="10"/>
      <c r="G25" s="11"/>
      <c r="H25" s="10"/>
      <c r="I25" s="11"/>
      <c r="J25" s="9"/>
    </row>
    <row r="26" spans="1:10" x14ac:dyDescent="0.2">
      <c r="A26" s="3" t="s">
        <v>22</v>
      </c>
      <c r="B26" s="10"/>
      <c r="C26" s="11"/>
      <c r="D26" s="10"/>
      <c r="E26" s="11"/>
      <c r="F26" s="10">
        <v>250</v>
      </c>
      <c r="G26" s="11"/>
      <c r="H26" s="10">
        <f t="shared" ref="H26" si="2">IF((B26-C26+D26-E26+F26-G26)&gt;0,(B26-C26+D26-E26+F26-G26),)</f>
        <v>250</v>
      </c>
      <c r="I26" s="11"/>
      <c r="J26" s="9"/>
    </row>
    <row r="27" spans="1:10" x14ac:dyDescent="0.2">
      <c r="B27" s="10"/>
      <c r="C27" s="11"/>
      <c r="D27" s="10"/>
      <c r="E27" s="16"/>
      <c r="F27" s="10"/>
      <c r="G27" s="16"/>
      <c r="H27" s="10"/>
      <c r="I27" s="11"/>
      <c r="J27" s="9"/>
    </row>
    <row r="28" spans="1:10" x14ac:dyDescent="0.2">
      <c r="A28" s="3" t="s">
        <v>17</v>
      </c>
      <c r="B28" s="10"/>
      <c r="C28" s="11"/>
      <c r="D28" s="10"/>
      <c r="E28" s="16">
        <f>12.18+12.02+7.28+7.28</f>
        <v>38.76</v>
      </c>
      <c r="F28" s="10"/>
      <c r="G28" s="16"/>
      <c r="H28" s="10"/>
      <c r="I28" s="11">
        <f>-B28+C28-D28+E28-F28+G28</f>
        <v>38.76</v>
      </c>
      <c r="J28" s="9"/>
    </row>
    <row r="29" spans="1:10" x14ac:dyDescent="0.2">
      <c r="B29" s="10"/>
      <c r="C29" s="11"/>
      <c r="D29" s="10"/>
      <c r="E29" s="16"/>
      <c r="F29" s="10"/>
      <c r="G29" s="16"/>
      <c r="H29" s="10"/>
      <c r="I29" s="11"/>
      <c r="J29" s="9"/>
    </row>
    <row r="30" spans="1:10" x14ac:dyDescent="0.2">
      <c r="A30" s="3" t="s">
        <v>7</v>
      </c>
      <c r="B30" s="10"/>
      <c r="C30" s="11"/>
      <c r="D30" s="10"/>
      <c r="E30" s="16"/>
      <c r="F30" s="10"/>
      <c r="G30" s="16"/>
      <c r="H30" s="10">
        <f>IF((SUM(I19:I28)-SUM(H19:H28))&gt;0,(SUM(I19:I28)-SUM(H19:H28)),0)</f>
        <v>1152.7600000000002</v>
      </c>
      <c r="I30" s="11"/>
      <c r="J30" s="9"/>
    </row>
    <row r="31" spans="1:10" x14ac:dyDescent="0.2">
      <c r="B31" s="13"/>
      <c r="C31" s="14"/>
      <c r="D31" s="15"/>
      <c r="E31" s="14"/>
      <c r="F31" s="15"/>
      <c r="G31" s="14"/>
      <c r="H31" s="15"/>
      <c r="I31" s="14"/>
      <c r="J31" s="9"/>
    </row>
    <row r="32" spans="1:10" ht="12" thickBot="1" x14ac:dyDescent="0.25">
      <c r="B32" s="25">
        <f>SUM(B20:B31)</f>
        <v>0</v>
      </c>
      <c r="C32" s="26">
        <f>SUM(C20:C31)</f>
        <v>0</v>
      </c>
      <c r="D32" s="25">
        <f>SUM(D4:D31)</f>
        <v>2615.7600000000002</v>
      </c>
      <c r="E32" s="25">
        <f>SUM(E4:E31)</f>
        <v>2615.7600000000002</v>
      </c>
      <c r="F32" s="25">
        <f>SUM(F4:F31)</f>
        <v>1356</v>
      </c>
      <c r="G32" s="25">
        <f>SUM(G4:G31)</f>
        <v>1356</v>
      </c>
      <c r="H32" s="25">
        <f>SUM(H19:H31)</f>
        <v>2723.76</v>
      </c>
      <c r="I32" s="26">
        <f>SUM(I19:I31)</f>
        <v>2723.76</v>
      </c>
      <c r="J32" s="9"/>
    </row>
    <row r="33" spans="1:10" ht="12" hidden="1" thickBot="1" x14ac:dyDescent="0.25">
      <c r="B33" s="17">
        <f>C32-B32</f>
        <v>0</v>
      </c>
      <c r="C33" s="19"/>
      <c r="D33" s="17">
        <f>E32-D32</f>
        <v>0</v>
      </c>
      <c r="E33" s="19"/>
      <c r="F33" s="17">
        <f>G32-F32</f>
        <v>0</v>
      </c>
      <c r="G33" s="19"/>
      <c r="H33" s="17">
        <f>I32-H32</f>
        <v>0</v>
      </c>
      <c r="I33" s="19"/>
      <c r="J33" s="9"/>
    </row>
    <row r="34" spans="1:10" ht="12" thickTop="1" x14ac:dyDescent="0.2">
      <c r="A34" s="20"/>
      <c r="B34" s="21"/>
      <c r="C34" s="21"/>
      <c r="D34" s="21"/>
      <c r="E34" s="21"/>
      <c r="F34" s="21"/>
      <c r="G34" s="21"/>
      <c r="H34" s="21"/>
      <c r="I34" s="21"/>
      <c r="J34" s="20"/>
    </row>
  </sheetData>
  <mergeCells count="4">
    <mergeCell ref="B1:C1"/>
    <mergeCell ref="D1:E1"/>
    <mergeCell ref="F1:G1"/>
    <mergeCell ref="H1:I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>&amp;CJaaroverzicht 2015
 - de Maatschappij departement Leiden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de Maatschappij - 2017</vt:lpstr>
      <vt:lpstr>de Maatschappij - 2016</vt:lpstr>
      <vt:lpstr>de Maatschappij - 2015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Eimert van der Vliet</dc:creator>
  <cp:lastModifiedBy>Tom-Pouce</cp:lastModifiedBy>
  <cp:lastPrinted>2016-11-04T13:34:09Z</cp:lastPrinted>
  <dcterms:created xsi:type="dcterms:W3CDTF">2016-11-04T13:06:13Z</dcterms:created>
  <dcterms:modified xsi:type="dcterms:W3CDTF">2018-02-05T15:23:13Z</dcterms:modified>
</cp:coreProperties>
</file>